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ttp://doc.fundaciongizain.es/Gerencia/Fundacion/presupuesto/"/>
    </mc:Choice>
  </mc:AlternateContent>
  <bookViews>
    <workbookView xWindow="0" yWindow="0" windowWidth="19200" windowHeight="7310" activeTab="2"/>
  </bookViews>
  <sheets>
    <sheet name="Hoja1" sheetId="1" r:id="rId1"/>
    <sheet name="Hoja2" sheetId="2" r:id="rId2"/>
    <sheet name="gastos por centro encargo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1" i="1" l="1"/>
  <c r="D26" i="3"/>
  <c r="F15" i="3"/>
  <c r="E25" i="3"/>
  <c r="E22" i="3"/>
  <c r="C14" i="3"/>
  <c r="C16" i="3"/>
  <c r="C15" i="3"/>
  <c r="C13" i="3"/>
  <c r="C12" i="3"/>
  <c r="E24" i="3"/>
  <c r="E23" i="3"/>
  <c r="C26" i="3"/>
  <c r="B15" i="3"/>
  <c r="E4" i="3"/>
  <c r="B16" i="3"/>
  <c r="B13" i="3"/>
  <c r="B12" i="3"/>
  <c r="E5" i="3"/>
  <c r="E3" i="3"/>
  <c r="E2" i="3"/>
  <c r="D6" i="3"/>
  <c r="C6" i="3"/>
  <c r="B6" i="3"/>
  <c r="F13" i="3" l="1"/>
  <c r="F14" i="3"/>
  <c r="F12" i="3"/>
  <c r="E26" i="3"/>
  <c r="B26" i="3"/>
  <c r="F26" i="3" s="1"/>
  <c r="E15" i="3"/>
  <c r="E13" i="3"/>
  <c r="C17" i="3"/>
  <c r="E12" i="3"/>
  <c r="B14" i="3"/>
  <c r="E14" i="3" s="1"/>
  <c r="E6" i="3"/>
  <c r="E63" i="1"/>
  <c r="E65" i="1"/>
  <c r="C3" i="2"/>
  <c r="C4" i="2"/>
  <c r="C5" i="2"/>
  <c r="C6" i="2"/>
  <c r="C7" i="2"/>
  <c r="C8" i="2"/>
  <c r="D8" i="2" s="1"/>
  <c r="C2" i="2"/>
  <c r="F16" i="3" l="1"/>
  <c r="B17" i="3"/>
  <c r="G6" i="1"/>
  <c r="D61" i="1" l="1"/>
  <c r="E61" i="1" s="1"/>
  <c r="G50" i="1"/>
  <c r="G51" i="1"/>
  <c r="G49" i="1"/>
  <c r="G47" i="1"/>
  <c r="G46" i="1"/>
  <c r="G43" i="1"/>
  <c r="G44" i="1"/>
  <c r="G42" i="1"/>
  <c r="G40" i="1"/>
  <c r="G39" i="1"/>
  <c r="G37" i="1"/>
  <c r="G25" i="1"/>
  <c r="G26" i="1"/>
  <c r="G28" i="1"/>
  <c r="G29" i="1"/>
  <c r="G30" i="1"/>
  <c r="G32" i="1"/>
  <c r="G33" i="1"/>
  <c r="G35" i="1"/>
  <c r="G36" i="1"/>
  <c r="G24" i="1"/>
  <c r="G16" i="1"/>
  <c r="G17" i="1"/>
  <c r="G18" i="1"/>
  <c r="G19" i="1"/>
  <c r="G20" i="1"/>
  <c r="G15" i="1"/>
  <c r="G10" i="1"/>
  <c r="G7" i="1"/>
  <c r="G8" i="1"/>
  <c r="G52" i="1" s="1"/>
  <c r="G9" i="1"/>
  <c r="G11" i="1"/>
  <c r="G12" i="1"/>
  <c r="D58" i="1" l="1"/>
  <c r="E58" i="1" s="1"/>
  <c r="D57" i="1"/>
  <c r="D59" i="1"/>
  <c r="E59" i="1" s="1"/>
  <c r="D60" i="1"/>
  <c r="E60" i="1" s="1"/>
  <c r="E57" i="1" l="1"/>
  <c r="D62" i="1"/>
  <c r="E62" i="1" s="1"/>
  <c r="D64" i="1"/>
  <c r="E64" i="1" s="1"/>
  <c r="D66" i="1" l="1"/>
  <c r="E66" i="1" s="1"/>
</calcChain>
</file>

<file path=xl/sharedStrings.xml><?xml version="1.0" encoding="utf-8"?>
<sst xmlns="http://schemas.openxmlformats.org/spreadsheetml/2006/main" count="116" uniqueCount="53">
  <si>
    <t>COA</t>
  </si>
  <si>
    <t>CENTRO DE DIA</t>
  </si>
  <si>
    <t>CENTRO DE SERVICIOS SOCIALES</t>
  </si>
  <si>
    <t>Puesto</t>
  </si>
  <si>
    <t>Nº puestos</t>
  </si>
  <si>
    <t>Salario Bruto Anual</t>
  </si>
  <si>
    <t>Total</t>
  </si>
  <si>
    <t>Estella</t>
  </si>
  <si>
    <t>Tudela</t>
  </si>
  <si>
    <t>Administrativo/a</t>
  </si>
  <si>
    <t>Coordinador/a</t>
  </si>
  <si>
    <t>Técnico/a Intervencion Familiar</t>
  </si>
  <si>
    <t>Educadores</t>
  </si>
  <si>
    <t>Técnico/a en Formación</t>
  </si>
  <si>
    <t>Personal Limpieza</t>
  </si>
  <si>
    <t>Educadores de atención directa</t>
  </si>
  <si>
    <t>Psicólogo/a</t>
  </si>
  <si>
    <t>EAIV</t>
  </si>
  <si>
    <t>EAIA</t>
  </si>
  <si>
    <t>Trabajador/a Social</t>
  </si>
  <si>
    <t>EISOL</t>
  </si>
  <si>
    <t>TOTAL</t>
  </si>
  <si>
    <t>CSS ESTELLA</t>
  </si>
  <si>
    <t>CSS TUDELA</t>
  </si>
  <si>
    <t>Sueldos y Salarios</t>
  </si>
  <si>
    <t>Incremento Nuevo convenio</t>
  </si>
  <si>
    <t>Seguridad Social (32%)</t>
  </si>
  <si>
    <t>SUELDOS Y SALARIOS 2020</t>
  </si>
  <si>
    <t>GASTOS PERSONAL 2020</t>
  </si>
  <si>
    <t>Salario base Bruto Anual</t>
  </si>
  <si>
    <t>Complemento bruto anual</t>
  </si>
  <si>
    <t>FUNDACION</t>
  </si>
  <si>
    <t>Absentismo y Sustituciones(6,2%)</t>
  </si>
  <si>
    <t>Antigüedad, variables(km, nocturnidad,festivos)</t>
  </si>
  <si>
    <t>Gastos de los servicios</t>
  </si>
  <si>
    <t>Cuantía</t>
  </si>
  <si>
    <t>A. Gastos de Personal</t>
  </si>
  <si>
    <t>D. Prorrateo de los gastos de personal de la Fundación Gizain</t>
  </si>
  <si>
    <t>B. Gastos de funcionamiento</t>
  </si>
  <si>
    <t>C. Inversiones</t>
  </si>
  <si>
    <t xml:space="preserve">Total costes de los servicios </t>
  </si>
  <si>
    <t>Nº  complementos</t>
  </si>
  <si>
    <t>CENTROS</t>
  </si>
  <si>
    <t>GASTOS ANUALES</t>
  </si>
  <si>
    <t>ENCARGO 9 MESES</t>
  </si>
  <si>
    <t>GASTOS PERSONAL ENCARGO</t>
  </si>
  <si>
    <t>GASTOS INDIRECTOS</t>
  </si>
  <si>
    <t>GASTOS FUNCIONAMIENTO E INVERSION</t>
  </si>
  <si>
    <t>fundacion</t>
  </si>
  <si>
    <t>seguridad social</t>
  </si>
  <si>
    <t>resto gastos personal</t>
  </si>
  <si>
    <t>gastos encargo</t>
  </si>
  <si>
    <t>INDIRECTOS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</si>
</sst>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u/>
      <sz val="11"/>
      <color theme="1"/>
      <name val="Calibri"/>
      <family val="2"/>
      <scheme val="minor"/>
    </font>
    <font>
      <b/>
      <sz val="10"/>
      <color rgb="FFFFFFFF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DBE5F1"/>
        <bgColor indexed="64"/>
      </patternFill>
    </fill>
  </fills>
  <borders count="28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rgb="FF4F81BD"/>
      </left>
      <right/>
      <top style="medium">
        <color rgb="FF4F81BD"/>
      </top>
      <bottom/>
      <diagonal/>
    </border>
    <border>
      <left/>
      <right style="medium">
        <color rgb="FF4F81BD"/>
      </right>
      <top style="medium">
        <color rgb="FF4F81BD"/>
      </top>
      <bottom/>
      <diagonal/>
    </border>
    <border>
      <left style="medium">
        <color rgb="FF4F81BD"/>
      </left>
      <right/>
      <top style="medium">
        <color rgb="FF4F81BD"/>
      </top>
      <bottom style="medium">
        <color rgb="FF4F81BD"/>
      </bottom>
      <diagonal/>
    </border>
    <border>
      <left/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 style="medium">
        <color rgb="FF4F81BD"/>
      </left>
      <right/>
      <top/>
      <bottom/>
      <diagonal/>
    </border>
    <border>
      <left/>
      <right style="medium">
        <color rgb="FF4F81BD"/>
      </right>
      <top/>
      <bottom/>
      <diagonal/>
    </border>
    <border>
      <left style="medium">
        <color rgb="FF4F81BD"/>
      </left>
      <right/>
      <top style="double">
        <color rgb="FF4F81BD"/>
      </top>
      <bottom style="medium">
        <color rgb="FF4F81BD"/>
      </bottom>
      <diagonal/>
    </border>
    <border>
      <left/>
      <right style="medium">
        <color rgb="FF4F81BD"/>
      </right>
      <top style="double">
        <color rgb="FF4F81BD"/>
      </top>
      <bottom style="medium">
        <color rgb="FF4F81BD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98">
    <xf numFmtId="0" fontId="0" fillId="0" borderId="0" xfId="0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3" borderId="12" xfId="0" applyFill="1" applyBorder="1"/>
    <xf numFmtId="0" fontId="0" fillId="0" borderId="15" xfId="0" applyBorder="1"/>
    <xf numFmtId="0" fontId="0" fillId="0" borderId="16" xfId="0" applyBorder="1"/>
    <xf numFmtId="0" fontId="1" fillId="2" borderId="10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4" fontId="0" fillId="0" borderId="4" xfId="0" applyNumberFormat="1" applyFont="1" applyBorder="1" applyAlignment="1">
      <alignment horizontal="center"/>
    </xf>
    <xf numFmtId="4" fontId="0" fillId="0" borderId="6" xfId="0" applyNumberFormat="1" applyFont="1" applyBorder="1" applyAlignment="1">
      <alignment horizontal="center"/>
    </xf>
    <xf numFmtId="4" fontId="0" fillId="0" borderId="9" xfId="0" applyNumberFormat="1" applyFont="1" applyBorder="1" applyAlignment="1">
      <alignment horizontal="center"/>
    </xf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4" fontId="0" fillId="0" borderId="13" xfId="0" applyNumberFormat="1" applyBorder="1" applyAlignment="1">
      <alignment horizontal="center"/>
    </xf>
    <xf numFmtId="4" fontId="0" fillId="0" borderId="14" xfId="0" applyNumberFormat="1" applyBorder="1" applyAlignment="1">
      <alignment horizontal="center"/>
    </xf>
    <xf numFmtId="4" fontId="0" fillId="0" borderId="17" xfId="0" applyNumberFormat="1" applyBorder="1" applyAlignment="1">
      <alignment horizontal="center"/>
    </xf>
    <xf numFmtId="4" fontId="0" fillId="0" borderId="0" xfId="0" applyNumberFormat="1" applyFill="1" applyBorder="1" applyAlignment="1">
      <alignment horizontal="center"/>
    </xf>
    <xf numFmtId="0" fontId="0" fillId="0" borderId="5" xfId="0" applyBorder="1" applyAlignment="1">
      <alignment horizontal="left" vertical="top" wrapText="1"/>
    </xf>
    <xf numFmtId="4" fontId="0" fillId="2" borderId="1" xfId="0" applyNumberFormat="1" applyFill="1" applyBorder="1" applyAlignment="1">
      <alignment horizontal="center"/>
    </xf>
    <xf numFmtId="4" fontId="0" fillId="0" borderId="0" xfId="0" applyNumberFormat="1"/>
    <xf numFmtId="0" fontId="4" fillId="5" borderId="19" xfId="0" applyFont="1" applyFill="1" applyBorder="1" applyAlignment="1">
      <alignment vertical="center" wrapText="1"/>
    </xf>
    <xf numFmtId="0" fontId="4" fillId="5" borderId="20" xfId="0" applyFont="1" applyFill="1" applyBorder="1" applyAlignment="1">
      <alignment horizontal="right" vertical="center" wrapText="1"/>
    </xf>
    <xf numFmtId="0" fontId="5" fillId="0" borderId="21" xfId="0" applyFont="1" applyBorder="1" applyAlignment="1">
      <alignment vertical="center" wrapText="1"/>
    </xf>
    <xf numFmtId="3" fontId="6" fillId="0" borderId="22" xfId="0" applyNumberFormat="1" applyFont="1" applyBorder="1" applyAlignment="1">
      <alignment horizontal="right" vertical="center" wrapText="1"/>
    </xf>
    <xf numFmtId="0" fontId="5" fillId="0" borderId="23" xfId="0" applyFont="1" applyBorder="1" applyAlignment="1">
      <alignment vertical="center" wrapText="1"/>
    </xf>
    <xf numFmtId="3" fontId="6" fillId="0" borderId="24" xfId="0" applyNumberFormat="1" applyFont="1" applyBorder="1" applyAlignment="1">
      <alignment horizontal="right" vertical="center" wrapText="1"/>
    </xf>
    <xf numFmtId="0" fontId="5" fillId="6" borderId="21" xfId="0" applyFont="1" applyFill="1" applyBorder="1" applyAlignment="1">
      <alignment vertical="center" wrapText="1"/>
    </xf>
    <xf numFmtId="3" fontId="6" fillId="6" borderId="22" xfId="0" applyNumberFormat="1" applyFont="1" applyFill="1" applyBorder="1" applyAlignment="1">
      <alignment horizontal="right" vertical="center" wrapText="1"/>
    </xf>
    <xf numFmtId="3" fontId="5" fillId="0" borderId="24" xfId="0" applyNumberFormat="1" applyFont="1" applyBorder="1" applyAlignment="1">
      <alignment horizontal="right" vertical="center" wrapText="1"/>
    </xf>
    <xf numFmtId="3" fontId="5" fillId="0" borderId="22" xfId="0" applyNumberFormat="1" applyFont="1" applyBorder="1" applyAlignment="1">
      <alignment horizontal="right" vertical="center" wrapText="1"/>
    </xf>
    <xf numFmtId="0" fontId="5" fillId="6" borderId="23" xfId="0" applyFont="1" applyFill="1" applyBorder="1" applyAlignment="1">
      <alignment vertical="center" wrapText="1"/>
    </xf>
    <xf numFmtId="3" fontId="6" fillId="6" borderId="24" xfId="0" applyNumberFormat="1" applyFont="1" applyFill="1" applyBorder="1" applyAlignment="1">
      <alignment horizontal="right" vertical="center" wrapText="1"/>
    </xf>
    <xf numFmtId="0" fontId="5" fillId="5" borderId="25" xfId="0" applyFont="1" applyFill="1" applyBorder="1" applyAlignment="1">
      <alignment vertical="center" wrapText="1"/>
    </xf>
    <xf numFmtId="3" fontId="5" fillId="5" borderId="26" xfId="0" applyNumberFormat="1" applyFont="1" applyFill="1" applyBorder="1" applyAlignment="1">
      <alignment horizontal="right" vertical="center" wrapText="1"/>
    </xf>
    <xf numFmtId="3" fontId="0" fillId="0" borderId="13" xfId="0" applyNumberFormat="1" applyBorder="1" applyAlignment="1">
      <alignment horizontal="center"/>
    </xf>
    <xf numFmtId="3" fontId="0" fillId="0" borderId="14" xfId="0" applyNumberFormat="1" applyBorder="1" applyAlignment="1">
      <alignment horizontal="center"/>
    </xf>
    <xf numFmtId="3" fontId="0" fillId="0" borderId="17" xfId="0" applyNumberFormat="1" applyBorder="1" applyAlignment="1">
      <alignment horizontal="center"/>
    </xf>
    <xf numFmtId="3" fontId="0" fillId="2" borderId="1" xfId="0" applyNumberFormat="1" applyFill="1" applyBorder="1" applyAlignment="1">
      <alignment horizontal="center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left" vertical="top" wrapText="1"/>
    </xf>
    <xf numFmtId="0" fontId="1" fillId="3" borderId="11" xfId="0" applyFont="1" applyFill="1" applyBorder="1" applyAlignment="1">
      <alignment horizontal="left" vertical="top" wrapText="1"/>
    </xf>
    <xf numFmtId="0" fontId="1" fillId="3" borderId="12" xfId="0" applyFont="1" applyFill="1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0" fillId="0" borderId="18" xfId="0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0" fillId="0" borderId="10" xfId="0" applyBorder="1" applyAlignment="1">
      <alignment horizontal="left" wrapText="1"/>
    </xf>
    <xf numFmtId="0" fontId="0" fillId="0" borderId="18" xfId="0" applyBorder="1" applyAlignment="1">
      <alignment horizontal="left" wrapText="1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15" xfId="0" applyBorder="1" applyAlignment="1">
      <alignment vertical="center"/>
    </xf>
    <xf numFmtId="4" fontId="0" fillId="0" borderId="0" xfId="0" applyNumberFormat="1" applyAlignment="1">
      <alignment horizontal="center" vertical="center"/>
    </xf>
    <xf numFmtId="0" fontId="0" fillId="0" borderId="0" xfId="0" applyFill="1" applyBorder="1" applyAlignment="1">
      <alignment vertical="center"/>
    </xf>
    <xf numFmtId="3" fontId="0" fillId="0" borderId="0" xfId="0" applyNumberFormat="1"/>
    <xf numFmtId="3" fontId="0" fillId="0" borderId="15" xfId="0" applyNumberFormat="1" applyBorder="1" applyAlignment="1">
      <alignment horizontal="center" vertical="center"/>
    </xf>
    <xf numFmtId="0" fontId="1" fillId="0" borderId="15" xfId="0" applyFont="1" applyBorder="1" applyAlignment="1">
      <alignment vertical="center"/>
    </xf>
    <xf numFmtId="3" fontId="1" fillId="0" borderId="15" xfId="0" applyNumberFormat="1" applyFont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3" borderId="7" xfId="0" applyFont="1" applyFill="1" applyBorder="1" applyAlignment="1">
      <alignment horizontal="left" vertical="top" wrapText="1"/>
    </xf>
    <xf numFmtId="0" fontId="1" fillId="3" borderId="8" xfId="0" applyFont="1" applyFill="1" applyBorder="1" applyAlignment="1">
      <alignment horizontal="left" vertical="top" wrapText="1"/>
    </xf>
    <xf numFmtId="0" fontId="1" fillId="3" borderId="9" xfId="0" applyFont="1" applyFill="1" applyBorder="1" applyAlignment="1">
      <alignment horizontal="left" vertical="top" wrapText="1"/>
    </xf>
    <xf numFmtId="0" fontId="0" fillId="0" borderId="15" xfId="0" applyBorder="1" applyAlignment="1">
      <alignment horizontal="center"/>
    </xf>
    <xf numFmtId="4" fontId="0" fillId="0" borderId="15" xfId="0" applyNumberFormat="1" applyBorder="1" applyAlignment="1">
      <alignment horizontal="center"/>
    </xf>
    <xf numFmtId="1" fontId="0" fillId="0" borderId="15" xfId="0" applyNumberFormat="1" applyBorder="1" applyAlignment="1">
      <alignment horizontal="center"/>
    </xf>
    <xf numFmtId="0" fontId="0" fillId="3" borderId="8" xfId="0" applyFill="1" applyBorder="1"/>
    <xf numFmtId="0" fontId="0" fillId="0" borderId="15" xfId="0" applyFont="1" applyBorder="1" applyAlignment="1">
      <alignment horizontal="center"/>
    </xf>
    <xf numFmtId="164" fontId="0" fillId="0" borderId="15" xfId="0" applyNumberFormat="1" applyBorder="1" applyAlignment="1">
      <alignment horizontal="center"/>
    </xf>
    <xf numFmtId="4" fontId="0" fillId="0" borderId="15" xfId="0" applyNumberFormat="1" applyFont="1" applyBorder="1" applyAlignment="1">
      <alignment horizontal="center"/>
    </xf>
    <xf numFmtId="0" fontId="1" fillId="4" borderId="3" xfId="0" applyFont="1" applyFill="1" applyBorder="1" applyAlignment="1">
      <alignment horizontal="left" vertical="top" wrapText="1"/>
    </xf>
    <xf numFmtId="0" fontId="1" fillId="4" borderId="4" xfId="0" applyFont="1" applyFill="1" applyBorder="1" applyAlignment="1">
      <alignment horizontal="left" vertical="top" wrapText="1"/>
    </xf>
    <xf numFmtId="1" fontId="0" fillId="0" borderId="15" xfId="0" applyNumberFormat="1" applyFont="1" applyBorder="1" applyAlignment="1">
      <alignment horizontal="center"/>
    </xf>
    <xf numFmtId="0" fontId="1" fillId="3" borderId="7" xfId="0" applyFont="1" applyFill="1" applyBorder="1"/>
    <xf numFmtId="0" fontId="2" fillId="0" borderId="15" xfId="0" applyFont="1" applyBorder="1" applyAlignment="1">
      <alignment vertical="center"/>
    </xf>
    <xf numFmtId="0" fontId="1" fillId="4" borderId="2" xfId="0" applyFont="1" applyFill="1" applyBorder="1" applyAlignment="1">
      <alignment horizontal="left" vertical="top" wrapText="1"/>
    </xf>
    <xf numFmtId="0" fontId="3" fillId="0" borderId="15" xfId="0" applyFont="1" applyBorder="1"/>
    <xf numFmtId="0" fontId="1" fillId="4" borderId="5" xfId="0" applyFont="1" applyFill="1" applyBorder="1" applyAlignment="1">
      <alignment horizontal="left" vertical="top" wrapText="1"/>
    </xf>
    <xf numFmtId="0" fontId="1" fillId="4" borderId="0" xfId="0" applyFont="1" applyFill="1" applyBorder="1" applyAlignment="1">
      <alignment horizontal="left" vertical="top" wrapText="1"/>
    </xf>
    <xf numFmtId="0" fontId="1" fillId="4" borderId="6" xfId="0" applyFont="1" applyFill="1" applyBorder="1" applyAlignment="1">
      <alignment horizontal="left" vertical="top" wrapText="1"/>
    </xf>
    <xf numFmtId="0" fontId="1" fillId="2" borderId="7" xfId="0" applyFont="1" applyFill="1" applyBorder="1" applyAlignment="1">
      <alignment horizontal="center" wrapText="1"/>
    </xf>
    <xf numFmtId="0" fontId="1" fillId="2" borderId="8" xfId="0" applyFont="1" applyFill="1" applyBorder="1" applyAlignment="1">
      <alignment horizontal="center" wrapText="1"/>
    </xf>
    <xf numFmtId="0" fontId="1" fillId="2" borderId="9" xfId="0" applyFont="1" applyFill="1" applyBorder="1" applyAlignment="1">
      <alignment horizontal="center" wrapText="1"/>
    </xf>
    <xf numFmtId="0" fontId="1" fillId="2" borderId="9" xfId="0" applyFont="1" applyFill="1" applyBorder="1" applyAlignment="1">
      <alignment horizontal="center" wrapText="1"/>
    </xf>
    <xf numFmtId="4" fontId="1" fillId="2" borderId="27" xfId="0" applyNumberFormat="1" applyFont="1" applyFill="1" applyBorder="1" applyAlignment="1">
      <alignment horizontal="center"/>
    </xf>
    <xf numFmtId="3" fontId="0" fillId="0" borderId="15" xfId="0" applyNumberFormat="1" applyBorder="1" applyAlignment="1">
      <alignment horizontal="center"/>
    </xf>
    <xf numFmtId="3" fontId="0" fillId="0" borderId="15" xfId="0" applyNumberFormat="1" applyFont="1" applyBorder="1" applyAlignment="1">
      <alignment horizontal="center"/>
    </xf>
    <xf numFmtId="0" fontId="3" fillId="0" borderId="15" xfId="0" applyFont="1" applyBorder="1" applyAlignment="1">
      <alignment vertical="top" wrapText="1"/>
    </xf>
    <xf numFmtId="4" fontId="3" fillId="0" borderId="15" xfId="0" applyNumberFormat="1" applyFont="1" applyBorder="1" applyAlignment="1">
      <alignment vertical="top" wrapText="1"/>
    </xf>
    <xf numFmtId="3" fontId="3" fillId="0" borderId="15" xfId="0" applyNumberFormat="1" applyFont="1" applyBorder="1" applyAlignment="1">
      <alignment vertical="top" wrapText="1"/>
    </xf>
    <xf numFmtId="0" fontId="0" fillId="2" borderId="4" xfId="0" applyFill="1" applyBorder="1" applyAlignment="1">
      <alignment horizontal="center" vertical="center"/>
    </xf>
    <xf numFmtId="3" fontId="0" fillId="0" borderId="0" xfId="0" applyNumberForma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66"/>
  <sheetViews>
    <sheetView topLeftCell="A49" workbookViewId="0">
      <selection activeCell="E65" sqref="E65"/>
    </sheetView>
  </sheetViews>
  <sheetFormatPr baseColWidth="10" defaultRowHeight="14.5" x14ac:dyDescent="0.35"/>
  <cols>
    <col min="2" max="2" width="36.81640625" bestFit="1" customWidth="1"/>
    <col min="3" max="3" width="14.453125" bestFit="1" customWidth="1"/>
    <col min="4" max="4" width="22.7265625" bestFit="1" customWidth="1"/>
    <col min="5" max="5" width="17.26953125" customWidth="1"/>
    <col min="6" max="6" width="24.54296875" bestFit="1" customWidth="1"/>
    <col min="7" max="7" width="11.7265625" bestFit="1" customWidth="1"/>
    <col min="11" max="11" width="29.81640625" bestFit="1" customWidth="1"/>
  </cols>
  <sheetData>
    <row r="2" spans="2:7" ht="15.75" thickBot="1" x14ac:dyDescent="0.3"/>
    <row r="3" spans="2:7" ht="15" customHeight="1" thickBot="1" x14ac:dyDescent="0.3">
      <c r="B3" s="39" t="s">
        <v>27</v>
      </c>
      <c r="C3" s="40"/>
      <c r="D3" s="40"/>
      <c r="E3" s="40"/>
      <c r="F3" s="40"/>
      <c r="G3" s="41"/>
    </row>
    <row r="4" spans="2:7" ht="15" thickBot="1" x14ac:dyDescent="0.4">
      <c r="B4" s="42" t="s">
        <v>0</v>
      </c>
      <c r="C4" s="43"/>
      <c r="D4" s="43"/>
      <c r="E4" s="43"/>
      <c r="F4" s="43"/>
      <c r="G4" s="44"/>
    </row>
    <row r="5" spans="2:7" x14ac:dyDescent="0.35">
      <c r="B5" s="63" t="s">
        <v>3</v>
      </c>
      <c r="C5" s="64" t="s">
        <v>4</v>
      </c>
      <c r="D5" s="64" t="s">
        <v>29</v>
      </c>
      <c r="E5" s="64" t="s">
        <v>41</v>
      </c>
      <c r="F5" s="64" t="s">
        <v>30</v>
      </c>
      <c r="G5" s="65" t="s">
        <v>6</v>
      </c>
    </row>
    <row r="6" spans="2:7" x14ac:dyDescent="0.35">
      <c r="B6" s="5" t="s">
        <v>9</v>
      </c>
      <c r="C6" s="69">
        <v>0.5</v>
      </c>
      <c r="D6" s="70">
        <v>19773.009999999998</v>
      </c>
      <c r="E6" s="71"/>
      <c r="F6" s="70"/>
      <c r="G6" s="70">
        <f>(C6*D6)+(E6*F6)</f>
        <v>9886.5049999999992</v>
      </c>
    </row>
    <row r="7" spans="2:7" ht="15" x14ac:dyDescent="0.25">
      <c r="B7" s="5" t="s">
        <v>10</v>
      </c>
      <c r="C7" s="69">
        <v>1</v>
      </c>
      <c r="D7" s="70">
        <v>25687.64</v>
      </c>
      <c r="E7" s="71">
        <v>1</v>
      </c>
      <c r="F7" s="70">
        <v>4856.91</v>
      </c>
      <c r="G7" s="70">
        <f t="shared" ref="G7:G12" si="0">(C7*D7)+(E7*F7)</f>
        <v>30544.55</v>
      </c>
    </row>
    <row r="8" spans="2:7" x14ac:dyDescent="0.35">
      <c r="B8" s="5" t="s">
        <v>16</v>
      </c>
      <c r="C8" s="69">
        <v>2</v>
      </c>
      <c r="D8" s="70">
        <v>21910.05</v>
      </c>
      <c r="E8" s="71"/>
      <c r="F8" s="70"/>
      <c r="G8" s="70">
        <f t="shared" si="0"/>
        <v>43820.1</v>
      </c>
    </row>
    <row r="9" spans="2:7" x14ac:dyDescent="0.35">
      <c r="B9" s="5" t="s">
        <v>11</v>
      </c>
      <c r="C9" s="69">
        <v>2</v>
      </c>
      <c r="D9" s="70">
        <v>21910.05</v>
      </c>
      <c r="E9" s="71">
        <v>1</v>
      </c>
      <c r="F9" s="70">
        <v>1079.31</v>
      </c>
      <c r="G9" s="70">
        <f t="shared" si="0"/>
        <v>44899.409999999996</v>
      </c>
    </row>
    <row r="10" spans="2:7" ht="15" x14ac:dyDescent="0.25">
      <c r="B10" s="5" t="s">
        <v>12</v>
      </c>
      <c r="C10" s="69">
        <v>19.66</v>
      </c>
      <c r="D10" s="70">
        <v>21910.05</v>
      </c>
      <c r="E10" s="71"/>
      <c r="F10" s="70"/>
      <c r="G10" s="70">
        <f>(C10*D10)+(E10*F10)</f>
        <v>430751.58299999998</v>
      </c>
    </row>
    <row r="11" spans="2:7" x14ac:dyDescent="0.35">
      <c r="B11" s="5" t="s">
        <v>13</v>
      </c>
      <c r="C11" s="69">
        <v>0.5</v>
      </c>
      <c r="D11" s="70">
        <v>21910.05</v>
      </c>
      <c r="E11" s="71"/>
      <c r="F11" s="70"/>
      <c r="G11" s="70">
        <f t="shared" si="0"/>
        <v>10955.025</v>
      </c>
    </row>
    <row r="12" spans="2:7" x14ac:dyDescent="0.35">
      <c r="B12" s="5" t="s">
        <v>14</v>
      </c>
      <c r="C12" s="69">
        <v>1.25</v>
      </c>
      <c r="D12" s="70">
        <v>17333.759999999998</v>
      </c>
      <c r="E12" s="71"/>
      <c r="F12" s="70"/>
      <c r="G12" s="70">
        <f t="shared" si="0"/>
        <v>21667.199999999997</v>
      </c>
    </row>
    <row r="13" spans="2:7" ht="15" thickBot="1" x14ac:dyDescent="0.4">
      <c r="B13" s="66" t="s">
        <v>1</v>
      </c>
      <c r="C13" s="67"/>
      <c r="D13" s="67"/>
      <c r="E13" s="67"/>
      <c r="F13" s="67"/>
      <c r="G13" s="68"/>
    </row>
    <row r="14" spans="2:7" ht="15" thickBot="1" x14ac:dyDescent="0.4">
      <c r="B14" s="63" t="s">
        <v>3</v>
      </c>
      <c r="C14" s="64" t="s">
        <v>4</v>
      </c>
      <c r="D14" s="64" t="s">
        <v>5</v>
      </c>
      <c r="E14" s="64" t="s">
        <v>41</v>
      </c>
      <c r="F14" s="64" t="s">
        <v>30</v>
      </c>
      <c r="G14" s="3" t="s">
        <v>6</v>
      </c>
    </row>
    <row r="15" spans="2:7" x14ac:dyDescent="0.35">
      <c r="B15" s="5" t="s">
        <v>9</v>
      </c>
      <c r="C15" s="73">
        <v>0.5</v>
      </c>
      <c r="D15" s="70">
        <v>19773.009999999998</v>
      </c>
      <c r="E15" s="74"/>
      <c r="F15" s="75"/>
      <c r="G15" s="9">
        <f>(C15*D15)+(E15*F15)</f>
        <v>9886.5049999999992</v>
      </c>
    </row>
    <row r="16" spans="2:7" x14ac:dyDescent="0.35">
      <c r="B16" s="5" t="s">
        <v>10</v>
      </c>
      <c r="C16" s="73">
        <v>1</v>
      </c>
      <c r="D16" s="70">
        <v>25687.64</v>
      </c>
      <c r="E16" s="74">
        <v>1</v>
      </c>
      <c r="F16" s="70">
        <v>4856.91</v>
      </c>
      <c r="G16" s="10">
        <f t="shared" ref="G16:G20" si="1">(C16*D16)+(E16*F16)</f>
        <v>30544.55</v>
      </c>
    </row>
    <row r="17" spans="2:7" x14ac:dyDescent="0.35">
      <c r="B17" s="5" t="s">
        <v>16</v>
      </c>
      <c r="C17" s="73">
        <v>0.5</v>
      </c>
      <c r="D17" s="70">
        <v>21910.05</v>
      </c>
      <c r="E17" s="74"/>
      <c r="F17" s="70"/>
      <c r="G17" s="10">
        <f t="shared" si="1"/>
        <v>10955.025</v>
      </c>
    </row>
    <row r="18" spans="2:7" x14ac:dyDescent="0.35">
      <c r="B18" s="5" t="s">
        <v>11</v>
      </c>
      <c r="C18" s="73">
        <v>1</v>
      </c>
      <c r="D18" s="70">
        <v>21910.05</v>
      </c>
      <c r="E18" s="74"/>
      <c r="F18" s="70"/>
      <c r="G18" s="10">
        <f t="shared" si="1"/>
        <v>21910.05</v>
      </c>
    </row>
    <row r="19" spans="2:7" x14ac:dyDescent="0.35">
      <c r="B19" s="80" t="s">
        <v>15</v>
      </c>
      <c r="C19" s="73">
        <v>2</v>
      </c>
      <c r="D19" s="70">
        <v>21910.05</v>
      </c>
      <c r="E19" s="74"/>
      <c r="F19" s="70"/>
      <c r="G19" s="10">
        <f t="shared" si="1"/>
        <v>43820.1</v>
      </c>
    </row>
    <row r="20" spans="2:7" ht="15" thickBot="1" x14ac:dyDescent="0.4">
      <c r="B20" s="5" t="s">
        <v>13</v>
      </c>
      <c r="C20" s="73">
        <v>1</v>
      </c>
      <c r="D20" s="70">
        <v>21910.05</v>
      </c>
      <c r="E20" s="74"/>
      <c r="F20" s="70"/>
      <c r="G20" s="11">
        <f t="shared" si="1"/>
        <v>21910.05</v>
      </c>
    </row>
    <row r="21" spans="2:7" ht="15" thickBot="1" x14ac:dyDescent="0.4">
      <c r="B21" s="79" t="s">
        <v>2</v>
      </c>
      <c r="C21" s="72"/>
      <c r="D21" s="72"/>
      <c r="E21" s="72"/>
      <c r="F21" s="72"/>
      <c r="G21" s="4"/>
    </row>
    <row r="22" spans="2:7" ht="15" thickBot="1" x14ac:dyDescent="0.4">
      <c r="B22" s="1" t="s">
        <v>3</v>
      </c>
      <c r="C22" s="2" t="s">
        <v>4</v>
      </c>
      <c r="D22" s="2" t="s">
        <v>5</v>
      </c>
      <c r="E22" s="2" t="s">
        <v>41</v>
      </c>
      <c r="F22" s="2" t="s">
        <v>30</v>
      </c>
      <c r="G22" s="3" t="s">
        <v>6</v>
      </c>
    </row>
    <row r="23" spans="2:7" x14ac:dyDescent="0.35">
      <c r="B23" s="81" t="s">
        <v>7</v>
      </c>
      <c r="C23" s="76"/>
      <c r="D23" s="76"/>
      <c r="E23" s="76"/>
      <c r="F23" s="76"/>
      <c r="G23" s="77"/>
    </row>
    <row r="24" spans="2:7" x14ac:dyDescent="0.35">
      <c r="B24" s="5" t="s">
        <v>9</v>
      </c>
      <c r="C24" s="69">
        <v>1</v>
      </c>
      <c r="D24" s="70">
        <v>19773.009999999998</v>
      </c>
      <c r="E24" s="71"/>
      <c r="F24" s="70"/>
      <c r="G24" s="70">
        <f>(C24*D24)+(E24*F24)</f>
        <v>19773.009999999998</v>
      </c>
    </row>
    <row r="25" spans="2:7" ht="15" x14ac:dyDescent="0.25">
      <c r="B25" s="5" t="s">
        <v>10</v>
      </c>
      <c r="C25" s="73">
        <v>1</v>
      </c>
      <c r="D25" s="75">
        <v>25687.64</v>
      </c>
      <c r="E25" s="78">
        <v>1</v>
      </c>
      <c r="F25" s="75">
        <v>4856.91</v>
      </c>
      <c r="G25" s="70">
        <f t="shared" ref="G25:G37" si="2">(C25*D25)+(E25*F25)</f>
        <v>30544.55</v>
      </c>
    </row>
    <row r="26" spans="2:7" ht="15" x14ac:dyDescent="0.25">
      <c r="B26" s="5" t="s">
        <v>14</v>
      </c>
      <c r="C26" s="73">
        <v>1</v>
      </c>
      <c r="D26" s="75">
        <v>17333.759999999998</v>
      </c>
      <c r="E26" s="78"/>
      <c r="F26" s="75"/>
      <c r="G26" s="70">
        <f t="shared" si="2"/>
        <v>17333.759999999998</v>
      </c>
    </row>
    <row r="27" spans="2:7" ht="15" x14ac:dyDescent="0.25">
      <c r="B27" s="82" t="s">
        <v>18</v>
      </c>
      <c r="C27" s="73"/>
      <c r="D27" s="75"/>
      <c r="E27" s="78"/>
      <c r="F27" s="75"/>
      <c r="G27" s="70"/>
    </row>
    <row r="28" spans="2:7" ht="15" x14ac:dyDescent="0.25">
      <c r="B28" s="5" t="s">
        <v>19</v>
      </c>
      <c r="C28" s="73">
        <v>1</v>
      </c>
      <c r="D28" s="75">
        <v>21910.05</v>
      </c>
      <c r="E28" s="78"/>
      <c r="F28" s="75"/>
      <c r="G28" s="70">
        <f t="shared" si="2"/>
        <v>21910.05</v>
      </c>
    </row>
    <row r="29" spans="2:7" x14ac:dyDescent="0.35">
      <c r="B29" s="5" t="s">
        <v>16</v>
      </c>
      <c r="C29" s="73">
        <v>2</v>
      </c>
      <c r="D29" s="75">
        <v>21910.05</v>
      </c>
      <c r="E29" s="78">
        <v>1</v>
      </c>
      <c r="F29" s="75">
        <v>1079.31</v>
      </c>
      <c r="G29" s="70">
        <f t="shared" si="2"/>
        <v>44899.409999999996</v>
      </c>
    </row>
    <row r="30" spans="2:7" ht="15" x14ac:dyDescent="0.25">
      <c r="B30" s="5" t="s">
        <v>12</v>
      </c>
      <c r="C30" s="73">
        <v>5</v>
      </c>
      <c r="D30" s="75">
        <v>21910.05</v>
      </c>
      <c r="E30" s="78"/>
      <c r="F30" s="75"/>
      <c r="G30" s="70">
        <f t="shared" si="2"/>
        <v>109550.25</v>
      </c>
    </row>
    <row r="31" spans="2:7" ht="15" x14ac:dyDescent="0.25">
      <c r="B31" s="82" t="s">
        <v>20</v>
      </c>
      <c r="C31" s="69"/>
      <c r="D31" s="70"/>
      <c r="E31" s="71"/>
      <c r="F31" s="70"/>
      <c r="G31" s="70"/>
    </row>
    <row r="32" spans="2:7" ht="15" x14ac:dyDescent="0.25">
      <c r="B32" s="5" t="s">
        <v>19</v>
      </c>
      <c r="C32" s="69">
        <v>2</v>
      </c>
      <c r="D32" s="75">
        <v>21910.05</v>
      </c>
      <c r="E32" s="71">
        <v>1</v>
      </c>
      <c r="F32" s="70">
        <v>1079.31</v>
      </c>
      <c r="G32" s="70">
        <f t="shared" si="2"/>
        <v>44899.409999999996</v>
      </c>
    </row>
    <row r="33" spans="2:7" ht="15" x14ac:dyDescent="0.25">
      <c r="B33" s="5" t="s">
        <v>12</v>
      </c>
      <c r="C33" s="69">
        <v>2</v>
      </c>
      <c r="D33" s="75">
        <v>21910.05</v>
      </c>
      <c r="E33" s="78"/>
      <c r="F33" s="70"/>
      <c r="G33" s="70">
        <f t="shared" si="2"/>
        <v>43820.1</v>
      </c>
    </row>
    <row r="34" spans="2:7" ht="15" x14ac:dyDescent="0.25">
      <c r="B34" s="82" t="s">
        <v>17</v>
      </c>
      <c r="C34" s="69"/>
      <c r="D34" s="70"/>
      <c r="E34" s="71"/>
      <c r="F34" s="70"/>
      <c r="G34" s="70"/>
    </row>
    <row r="35" spans="2:7" ht="15" x14ac:dyDescent="0.25">
      <c r="B35" s="5" t="s">
        <v>19</v>
      </c>
      <c r="C35" s="69">
        <v>1</v>
      </c>
      <c r="D35" s="75">
        <v>21910.05</v>
      </c>
      <c r="E35" s="78">
        <v>1</v>
      </c>
      <c r="F35" s="70">
        <v>1079.31</v>
      </c>
      <c r="G35" s="70">
        <f t="shared" si="2"/>
        <v>22989.360000000001</v>
      </c>
    </row>
    <row r="36" spans="2:7" x14ac:dyDescent="0.35">
      <c r="B36" s="5" t="s">
        <v>16</v>
      </c>
      <c r="C36" s="69">
        <v>1</v>
      </c>
      <c r="D36" s="75">
        <v>21910.05</v>
      </c>
      <c r="E36" s="78"/>
      <c r="F36" s="70"/>
      <c r="G36" s="70">
        <f t="shared" si="2"/>
        <v>21910.05</v>
      </c>
    </row>
    <row r="37" spans="2:7" x14ac:dyDescent="0.35">
      <c r="B37" s="5" t="s">
        <v>12</v>
      </c>
      <c r="C37" s="69">
        <v>1</v>
      </c>
      <c r="D37" s="75">
        <v>21910.05</v>
      </c>
      <c r="E37" s="78"/>
      <c r="F37" s="70"/>
      <c r="G37" s="70">
        <f t="shared" si="2"/>
        <v>21910.05</v>
      </c>
    </row>
    <row r="38" spans="2:7" x14ac:dyDescent="0.35">
      <c r="B38" s="83" t="s">
        <v>8</v>
      </c>
      <c r="C38" s="84"/>
      <c r="D38" s="84"/>
      <c r="E38" s="84"/>
      <c r="F38" s="84"/>
      <c r="G38" s="85"/>
    </row>
    <row r="39" spans="2:7" x14ac:dyDescent="0.35">
      <c r="B39" s="5" t="s">
        <v>9</v>
      </c>
      <c r="C39" s="69">
        <v>1</v>
      </c>
      <c r="D39" s="70">
        <v>19773.009999999998</v>
      </c>
      <c r="E39" s="91"/>
      <c r="F39" s="70"/>
      <c r="G39" s="70">
        <f>(C39*D39)+(E39*F39)</f>
        <v>19773.009999999998</v>
      </c>
    </row>
    <row r="40" spans="2:7" x14ac:dyDescent="0.35">
      <c r="B40" s="5" t="s">
        <v>10</v>
      </c>
      <c r="C40" s="69">
        <v>1</v>
      </c>
      <c r="D40" s="75">
        <v>25687.64</v>
      </c>
      <c r="E40" s="92">
        <v>1</v>
      </c>
      <c r="F40" s="75">
        <v>4856.91</v>
      </c>
      <c r="G40" s="70">
        <f>(C40*D40)+(E40*F40)</f>
        <v>30544.55</v>
      </c>
    </row>
    <row r="41" spans="2:7" x14ac:dyDescent="0.35">
      <c r="B41" s="93" t="s">
        <v>18</v>
      </c>
      <c r="C41" s="93"/>
      <c r="D41" s="94"/>
      <c r="E41" s="95"/>
      <c r="F41" s="94"/>
      <c r="G41" s="94"/>
    </row>
    <row r="42" spans="2:7" x14ac:dyDescent="0.35">
      <c r="B42" s="5" t="s">
        <v>19</v>
      </c>
      <c r="C42" s="69">
        <v>1</v>
      </c>
      <c r="D42" s="75">
        <v>21910.05</v>
      </c>
      <c r="E42" s="92"/>
      <c r="F42" s="70"/>
      <c r="G42" s="70">
        <f>(C42*D42)+(E42*F42)</f>
        <v>21910.05</v>
      </c>
    </row>
    <row r="43" spans="2:7" x14ac:dyDescent="0.35">
      <c r="B43" s="5" t="s">
        <v>16</v>
      </c>
      <c r="C43" s="69">
        <v>2</v>
      </c>
      <c r="D43" s="75">
        <v>21910.05</v>
      </c>
      <c r="E43" s="92">
        <v>1</v>
      </c>
      <c r="F43" s="70">
        <v>1079.31</v>
      </c>
      <c r="G43" s="70">
        <f t="shared" ref="G43:G44" si="3">(C43*D43)+(E43*F43)</f>
        <v>44899.409999999996</v>
      </c>
    </row>
    <row r="44" spans="2:7" x14ac:dyDescent="0.35">
      <c r="B44" s="5" t="s">
        <v>12</v>
      </c>
      <c r="C44" s="69">
        <v>4</v>
      </c>
      <c r="D44" s="75">
        <v>21910.05</v>
      </c>
      <c r="E44" s="92"/>
      <c r="F44" s="70"/>
      <c r="G44" s="70">
        <f t="shared" si="3"/>
        <v>87640.2</v>
      </c>
    </row>
    <row r="45" spans="2:7" x14ac:dyDescent="0.35">
      <c r="B45" s="93" t="s">
        <v>20</v>
      </c>
      <c r="C45" s="93"/>
      <c r="D45" s="94"/>
      <c r="E45" s="95"/>
      <c r="F45" s="94"/>
      <c r="G45" s="94"/>
    </row>
    <row r="46" spans="2:7" x14ac:dyDescent="0.35">
      <c r="B46" s="5" t="s">
        <v>19</v>
      </c>
      <c r="C46" s="69">
        <v>2</v>
      </c>
      <c r="D46" s="75">
        <v>21910.05</v>
      </c>
      <c r="E46" s="92">
        <v>1</v>
      </c>
      <c r="F46" s="70">
        <v>1079.31</v>
      </c>
      <c r="G46" s="70">
        <f>(C46*D46)+(E46*F46)</f>
        <v>44899.409999999996</v>
      </c>
    </row>
    <row r="47" spans="2:7" x14ac:dyDescent="0.35">
      <c r="B47" s="5" t="s">
        <v>12</v>
      </c>
      <c r="C47" s="69">
        <v>2</v>
      </c>
      <c r="D47" s="75">
        <v>21910.05</v>
      </c>
      <c r="E47" s="92"/>
      <c r="F47" s="70"/>
      <c r="G47" s="70">
        <f>(C47*D47)+(E47*F47)</f>
        <v>43820.1</v>
      </c>
    </row>
    <row r="48" spans="2:7" x14ac:dyDescent="0.35">
      <c r="B48" s="93" t="s">
        <v>17</v>
      </c>
      <c r="C48" s="93"/>
      <c r="D48" s="94"/>
      <c r="E48" s="95"/>
      <c r="F48" s="94"/>
      <c r="G48" s="94"/>
    </row>
    <row r="49" spans="2:7" x14ac:dyDescent="0.35">
      <c r="B49" s="5" t="s">
        <v>19</v>
      </c>
      <c r="C49" s="69">
        <v>1.5</v>
      </c>
      <c r="D49" s="75">
        <v>21910.05</v>
      </c>
      <c r="E49" s="92">
        <v>1</v>
      </c>
      <c r="F49" s="70">
        <v>1079.31</v>
      </c>
      <c r="G49" s="70">
        <f>(C49*D49)+(E49*F49)</f>
        <v>33944.384999999995</v>
      </c>
    </row>
    <row r="50" spans="2:7" x14ac:dyDescent="0.35">
      <c r="B50" s="5" t="s">
        <v>16</v>
      </c>
      <c r="C50" s="69">
        <v>1.5</v>
      </c>
      <c r="D50" s="75">
        <v>21910.05</v>
      </c>
      <c r="E50" s="92"/>
      <c r="F50" s="70"/>
      <c r="G50" s="70">
        <f t="shared" ref="G50:G51" si="4">(C50*D50)+(E50*F50)</f>
        <v>32865.074999999997</v>
      </c>
    </row>
    <row r="51" spans="2:7" x14ac:dyDescent="0.35">
      <c r="B51" s="5" t="s">
        <v>12</v>
      </c>
      <c r="C51" s="69">
        <v>1</v>
      </c>
      <c r="D51" s="75">
        <v>21910.05</v>
      </c>
      <c r="E51" s="92"/>
      <c r="F51" s="70"/>
      <c r="G51" s="70">
        <f t="shared" si="4"/>
        <v>21910.05</v>
      </c>
    </row>
    <row r="52" spans="2:7" ht="15" thickBot="1" x14ac:dyDescent="0.4">
      <c r="B52" s="86" t="s">
        <v>21</v>
      </c>
      <c r="C52" s="87"/>
      <c r="D52" s="88"/>
      <c r="E52" s="89"/>
      <c r="F52" s="89"/>
      <c r="G52" s="90">
        <f>SUM(G6:G12,G15:G20,G24:G37,G39:G51)</f>
        <v>1513296.8930000006</v>
      </c>
    </row>
    <row r="55" spans="2:7" ht="15" thickBot="1" x14ac:dyDescent="0.4"/>
    <row r="56" spans="2:7" ht="15" thickBot="1" x14ac:dyDescent="0.4">
      <c r="B56" s="61" t="s">
        <v>28</v>
      </c>
      <c r="C56" s="61" t="s">
        <v>42</v>
      </c>
      <c r="D56" s="61" t="s">
        <v>43</v>
      </c>
      <c r="E56" s="61" t="s">
        <v>44</v>
      </c>
      <c r="F56" s="12"/>
    </row>
    <row r="57" spans="2:7" x14ac:dyDescent="0.35">
      <c r="B57" s="47" t="s">
        <v>24</v>
      </c>
      <c r="C57" s="5" t="s">
        <v>0</v>
      </c>
      <c r="D57" s="14">
        <f>SUM(G6:G12)</f>
        <v>592524.37300000002</v>
      </c>
      <c r="E57" s="35">
        <f>(D57/12)*9</f>
        <v>444393.27974999999</v>
      </c>
      <c r="F57" s="13"/>
    </row>
    <row r="58" spans="2:7" x14ac:dyDescent="0.35">
      <c r="B58" s="47"/>
      <c r="C58" s="5" t="s">
        <v>1</v>
      </c>
      <c r="D58" s="14">
        <f>SUM(G15:G20)</f>
        <v>139026.28</v>
      </c>
      <c r="E58" s="35">
        <f t="shared" ref="E58:E66" si="5">(D58/12)*9</f>
        <v>104269.70999999999</v>
      </c>
      <c r="F58" s="13"/>
    </row>
    <row r="59" spans="2:7" x14ac:dyDescent="0.35">
      <c r="B59" s="47"/>
      <c r="C59" s="5" t="s">
        <v>22</v>
      </c>
      <c r="D59" s="14">
        <f>SUM(G24:G37)</f>
        <v>399539.99999999994</v>
      </c>
      <c r="E59" s="35">
        <f t="shared" si="5"/>
        <v>299654.99999999994</v>
      </c>
      <c r="F59" s="13"/>
    </row>
    <row r="60" spans="2:7" x14ac:dyDescent="0.35">
      <c r="B60" s="47"/>
      <c r="C60" s="5" t="s">
        <v>23</v>
      </c>
      <c r="D60" s="14">
        <f>SUM(G39:G51)</f>
        <v>382206.24</v>
      </c>
      <c r="E60" s="35">
        <f t="shared" si="5"/>
        <v>286654.68</v>
      </c>
      <c r="F60" s="13"/>
    </row>
    <row r="61" spans="2:7" ht="15" thickBot="1" x14ac:dyDescent="0.4">
      <c r="B61" s="18"/>
      <c r="C61" s="6" t="s">
        <v>31</v>
      </c>
      <c r="D61" s="15">
        <f>(19773.01+1079.31)+48383+62000</f>
        <v>131235.32</v>
      </c>
      <c r="E61" s="36">
        <f t="shared" si="5"/>
        <v>98426.49</v>
      </c>
      <c r="F61" s="97">
        <f>E57+E58+E59+E60+E61</f>
        <v>1233399.1597499999</v>
      </c>
    </row>
    <row r="62" spans="2:7" ht="15" thickBot="1" x14ac:dyDescent="0.4">
      <c r="B62" s="48" t="s">
        <v>32</v>
      </c>
      <c r="C62" s="49"/>
      <c r="D62" s="16">
        <f>SUM(D57:D61)*0.062</f>
        <v>101960.997206</v>
      </c>
      <c r="E62" s="37">
        <f t="shared" si="5"/>
        <v>76470.747904499993</v>
      </c>
      <c r="F62" s="13"/>
    </row>
    <row r="63" spans="2:7" ht="15" thickBot="1" x14ac:dyDescent="0.4">
      <c r="B63" s="45" t="s">
        <v>33</v>
      </c>
      <c r="C63" s="46"/>
      <c r="D63" s="16">
        <v>85848.14</v>
      </c>
      <c r="E63" s="37">
        <f t="shared" si="5"/>
        <v>64386.104999999996</v>
      </c>
      <c r="F63" s="13"/>
      <c r="G63" s="20"/>
    </row>
    <row r="64" spans="2:7" ht="15" thickBot="1" x14ac:dyDescent="0.4">
      <c r="B64" s="45" t="s">
        <v>26</v>
      </c>
      <c r="C64" s="46"/>
      <c r="D64" s="16">
        <f>SUM(D57:D61)*0.32</f>
        <v>526250.30816000002</v>
      </c>
      <c r="E64" s="37">
        <f t="shared" si="5"/>
        <v>394687.73112000001</v>
      </c>
      <c r="F64" s="13"/>
    </row>
    <row r="65" spans="2:6" ht="15" thickBot="1" x14ac:dyDescent="0.4">
      <c r="B65" s="45" t="s">
        <v>25</v>
      </c>
      <c r="C65" s="46"/>
      <c r="D65" s="16">
        <v>337472.46</v>
      </c>
      <c r="E65" s="37">
        <f t="shared" si="5"/>
        <v>253104.34500000003</v>
      </c>
      <c r="F65" s="17"/>
    </row>
    <row r="66" spans="2:6" ht="15" thickBot="1" x14ac:dyDescent="0.4">
      <c r="B66" s="7" t="s">
        <v>21</v>
      </c>
      <c r="C66" s="8"/>
      <c r="D66" s="19">
        <f>SUM(D57:D65)</f>
        <v>2696064.1183659998</v>
      </c>
      <c r="E66" s="38">
        <f t="shared" si="5"/>
        <v>2022048.0887744999</v>
      </c>
      <c r="F66" s="13"/>
    </row>
  </sheetData>
  <mergeCells count="11">
    <mergeCell ref="B63:C63"/>
    <mergeCell ref="B64:C64"/>
    <mergeCell ref="B65:C65"/>
    <mergeCell ref="B52:D52"/>
    <mergeCell ref="B57:B60"/>
    <mergeCell ref="B62:C62"/>
    <mergeCell ref="B3:G3"/>
    <mergeCell ref="B4:G4"/>
    <mergeCell ref="B13:G13"/>
    <mergeCell ref="B23:G23"/>
    <mergeCell ref="B38:G38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"/>
  <sheetViews>
    <sheetView workbookViewId="0">
      <selection activeCell="G4" sqref="G4"/>
    </sheetView>
  </sheetViews>
  <sheetFormatPr baseColWidth="10" defaultRowHeight="14.5" x14ac:dyDescent="0.35"/>
  <sheetData>
    <row r="1" spans="1:4" ht="26.5" thickBot="1" x14ac:dyDescent="0.4">
      <c r="A1" s="21" t="s">
        <v>34</v>
      </c>
      <c r="B1" s="22" t="s">
        <v>35</v>
      </c>
      <c r="C1" s="22"/>
    </row>
    <row r="2" spans="1:4" ht="26.5" thickBot="1" x14ac:dyDescent="0.4">
      <c r="A2" s="23" t="s">
        <v>36</v>
      </c>
      <c r="B2" s="24">
        <v>2416064</v>
      </c>
      <c r="C2" s="24">
        <f>(B2/12)*9</f>
        <v>1812048</v>
      </c>
    </row>
    <row r="3" spans="1:4" ht="78.5" thickBot="1" x14ac:dyDescent="0.4">
      <c r="A3" s="25" t="s">
        <v>37</v>
      </c>
      <c r="B3" s="26">
        <v>280000</v>
      </c>
      <c r="C3" s="26">
        <f t="shared" ref="C3:C8" si="0">(B3/12)*9</f>
        <v>210000</v>
      </c>
    </row>
    <row r="4" spans="1:4" ht="15" thickBot="1" x14ac:dyDescent="0.4">
      <c r="A4" s="27"/>
      <c r="B4" s="28">
        <v>2696064</v>
      </c>
      <c r="C4" s="28">
        <f t="shared" si="0"/>
        <v>2022048</v>
      </c>
    </row>
    <row r="5" spans="1:4" ht="39.5" thickBot="1" x14ac:dyDescent="0.4">
      <c r="A5" s="25" t="s">
        <v>38</v>
      </c>
      <c r="B5" s="29">
        <v>321344</v>
      </c>
      <c r="C5" s="29">
        <f t="shared" si="0"/>
        <v>241008</v>
      </c>
    </row>
    <row r="6" spans="1:4" ht="26.5" thickBot="1" x14ac:dyDescent="0.4">
      <c r="A6" s="23" t="s">
        <v>39</v>
      </c>
      <c r="B6" s="30">
        <v>11573</v>
      </c>
      <c r="C6" s="30">
        <f t="shared" si="0"/>
        <v>8679.75</v>
      </c>
    </row>
    <row r="7" spans="1:4" ht="15" thickBot="1" x14ac:dyDescent="0.4">
      <c r="A7" s="31"/>
      <c r="B7" s="32">
        <v>332917</v>
      </c>
      <c r="C7" s="32">
        <f t="shared" si="0"/>
        <v>249687.75</v>
      </c>
    </row>
    <row r="8" spans="1:4" ht="40" thickTop="1" thickBot="1" x14ac:dyDescent="0.4">
      <c r="A8" s="33" t="s">
        <v>40</v>
      </c>
      <c r="B8" s="34">
        <v>3028981</v>
      </c>
      <c r="C8" s="34">
        <f t="shared" si="0"/>
        <v>2271735.75</v>
      </c>
      <c r="D8">
        <f>C8/9</f>
        <v>252415.08333333334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topLeftCell="A16" workbookViewId="0">
      <selection activeCell="F22" sqref="F22"/>
    </sheetView>
  </sheetViews>
  <sheetFormatPr baseColWidth="10" defaultRowHeight="14.5" x14ac:dyDescent="0.35"/>
  <cols>
    <col min="1" max="1" width="18.1796875" customWidth="1"/>
    <col min="2" max="2" width="26.453125" customWidth="1"/>
    <col min="3" max="3" width="27.08984375" customWidth="1"/>
    <col min="4" max="4" width="22.90625" customWidth="1"/>
    <col min="5" max="5" width="18.1796875" customWidth="1"/>
    <col min="6" max="6" width="22.453125" customWidth="1"/>
  </cols>
  <sheetData>
    <row r="1" spans="1:6" ht="38" customHeight="1" x14ac:dyDescent="0.35">
      <c r="A1" s="51" t="s">
        <v>42</v>
      </c>
      <c r="B1" s="52" t="s">
        <v>45</v>
      </c>
      <c r="C1" s="52" t="s">
        <v>47</v>
      </c>
      <c r="D1" s="53" t="s">
        <v>46</v>
      </c>
      <c r="E1" s="53" t="s">
        <v>21</v>
      </c>
    </row>
    <row r="2" spans="1:6" ht="29.5" customHeight="1" x14ac:dyDescent="0.35">
      <c r="A2" s="54" t="s">
        <v>0</v>
      </c>
      <c r="B2" s="55">
        <v>444393.27974999999</v>
      </c>
      <c r="C2" s="55">
        <v>100571</v>
      </c>
      <c r="D2" s="55">
        <v>39636.15</v>
      </c>
      <c r="E2" s="55">
        <f>B2+C2+D2</f>
        <v>584600.42975000001</v>
      </c>
    </row>
    <row r="3" spans="1:6" ht="29.5" customHeight="1" x14ac:dyDescent="0.35">
      <c r="A3" s="54" t="s">
        <v>1</v>
      </c>
      <c r="B3" s="55">
        <v>104269.70999999999</v>
      </c>
      <c r="C3" s="55">
        <v>29062</v>
      </c>
      <c r="D3" s="55">
        <v>11446.94</v>
      </c>
      <c r="E3" s="55">
        <f>B3+C3+D3</f>
        <v>144778.65</v>
      </c>
    </row>
    <row r="4" spans="1:6" ht="29.5" customHeight="1" x14ac:dyDescent="0.35">
      <c r="A4" s="54" t="s">
        <v>22</v>
      </c>
      <c r="B4" s="55">
        <v>299654.99999999994</v>
      </c>
      <c r="C4" s="55">
        <v>56918</v>
      </c>
      <c r="D4" s="55">
        <v>22441.13</v>
      </c>
      <c r="E4" s="55">
        <f>B4+C4+D4</f>
        <v>379014.12999999995</v>
      </c>
    </row>
    <row r="5" spans="1:6" ht="29.5" customHeight="1" x14ac:dyDescent="0.35">
      <c r="A5" s="54" t="s">
        <v>23</v>
      </c>
      <c r="B5" s="55">
        <v>286654.68</v>
      </c>
      <c r="C5" s="55">
        <v>63137</v>
      </c>
      <c r="D5" s="55">
        <v>24901.78</v>
      </c>
      <c r="E5" s="55">
        <f>B5+C5+D5</f>
        <v>374693.45999999996</v>
      </c>
    </row>
    <row r="6" spans="1:6" ht="29.5" customHeight="1" x14ac:dyDescent="0.35">
      <c r="A6" s="12" t="s">
        <v>21</v>
      </c>
      <c r="B6" s="20">
        <f>SUM(B2:B5)</f>
        <v>1134972.6697499999</v>
      </c>
      <c r="C6" s="20">
        <f>SUM(C2:C5)</f>
        <v>249688</v>
      </c>
      <c r="D6" s="20">
        <f>SUM(D2:D5)</f>
        <v>98426</v>
      </c>
      <c r="E6" s="20">
        <f>SUM(E2:E5)</f>
        <v>1483086.6697499999</v>
      </c>
    </row>
    <row r="8" spans="1:6" x14ac:dyDescent="0.35">
      <c r="B8" s="20"/>
    </row>
    <row r="11" spans="1:6" x14ac:dyDescent="0.35">
      <c r="B11" t="s">
        <v>49</v>
      </c>
      <c r="C11" t="s">
        <v>50</v>
      </c>
      <c r="D11" t="s">
        <v>51</v>
      </c>
      <c r="F11" t="s">
        <v>52</v>
      </c>
    </row>
    <row r="12" spans="1:6" x14ac:dyDescent="0.35">
      <c r="A12" s="54" t="s">
        <v>0</v>
      </c>
      <c r="B12" s="57">
        <f>(B2*32)/100</f>
        <v>142205.84951999999</v>
      </c>
      <c r="C12" s="20">
        <f>393961*0.3635</f>
        <v>143204.8235</v>
      </c>
      <c r="D12" s="55">
        <v>444393.27974999999</v>
      </c>
      <c r="E12" s="20">
        <f>SUM(B12:D12)</f>
        <v>729803.95276999997</v>
      </c>
      <c r="F12" s="20">
        <f>E16*0.4027</f>
        <v>65091.219900000004</v>
      </c>
    </row>
    <row r="13" spans="1:6" x14ac:dyDescent="0.35">
      <c r="A13" s="54" t="s">
        <v>1</v>
      </c>
      <c r="B13" s="57">
        <f>B3*0.32</f>
        <v>33366.307199999996</v>
      </c>
      <c r="C13" s="20">
        <f>(393961*8.23)/100</f>
        <v>32422.990300000001</v>
      </c>
      <c r="D13" s="55">
        <v>104269.70999999999</v>
      </c>
      <c r="E13" s="20">
        <f>B13+C13+D13</f>
        <v>170059.00750000001</v>
      </c>
      <c r="F13" s="20">
        <f>E16*0.1163</f>
        <v>18798.383099999999</v>
      </c>
    </row>
    <row r="14" spans="1:6" x14ac:dyDescent="0.35">
      <c r="A14" s="54" t="s">
        <v>22</v>
      </c>
      <c r="B14" s="57">
        <f>B4*0.32</f>
        <v>95889.599999999977</v>
      </c>
      <c r="C14" s="20">
        <f>393961*0.2422</f>
        <v>95417.354200000002</v>
      </c>
      <c r="D14" s="55">
        <v>299654.99999999994</v>
      </c>
      <c r="E14" s="20">
        <f>B14+C14+D14</f>
        <v>490961.95419999992</v>
      </c>
      <c r="F14" s="20">
        <f>E16*0.228</f>
        <v>36853.236000000004</v>
      </c>
    </row>
    <row r="15" spans="1:6" x14ac:dyDescent="0.35">
      <c r="A15" s="54" t="s">
        <v>23</v>
      </c>
      <c r="B15" s="57">
        <f>B5*0.32</f>
        <v>91729.497600000002</v>
      </c>
      <c r="C15" s="20">
        <f>393961*0.2315</f>
        <v>91201.9715</v>
      </c>
      <c r="D15" s="55">
        <v>286654.68</v>
      </c>
      <c r="E15" s="20">
        <f>B15+C15+D15</f>
        <v>469586.14909999998</v>
      </c>
      <c r="F15" s="20">
        <f>E16*0.253</f>
        <v>40894.161</v>
      </c>
    </row>
    <row r="16" spans="1:6" x14ac:dyDescent="0.35">
      <c r="A16" s="56" t="s">
        <v>48</v>
      </c>
      <c r="B16" s="57">
        <f>D6*0.32</f>
        <v>31496.32</v>
      </c>
      <c r="C16" s="20">
        <f>(393961*8.05)/100</f>
        <v>31713.860500000003</v>
      </c>
      <c r="D16" s="55">
        <v>98426</v>
      </c>
      <c r="E16" s="20">
        <v>161637</v>
      </c>
      <c r="F16" s="20">
        <f>F12+F13+F14+F15</f>
        <v>161637</v>
      </c>
    </row>
    <row r="17" spans="1:6" x14ac:dyDescent="0.35">
      <c r="B17" s="57">
        <f>B12+B13+B14+B15+B16</f>
        <v>394687.57431999996</v>
      </c>
      <c r="C17" s="20">
        <f>C12+C13+C14+C15+C16</f>
        <v>393961</v>
      </c>
    </row>
    <row r="18" spans="1:6" x14ac:dyDescent="0.35">
      <c r="E18" s="20"/>
    </row>
    <row r="20" spans="1:6" ht="15" thickBot="1" x14ac:dyDescent="0.4">
      <c r="A20" s="51"/>
      <c r="B20" s="52"/>
      <c r="C20" s="52"/>
      <c r="D20" s="53"/>
      <c r="E20" s="53"/>
    </row>
    <row r="21" spans="1:6" s="50" customFormat="1" ht="29.5" thickBot="1" x14ac:dyDescent="0.4">
      <c r="A21" s="96" t="s">
        <v>42</v>
      </c>
      <c r="B21" s="96" t="s">
        <v>45</v>
      </c>
      <c r="C21" s="62" t="s">
        <v>47</v>
      </c>
      <c r="D21" s="61" t="s">
        <v>46</v>
      </c>
      <c r="E21" s="61" t="s">
        <v>21</v>
      </c>
    </row>
    <row r="22" spans="1:6" ht="29.5" customHeight="1" x14ac:dyDescent="0.35">
      <c r="A22" s="59" t="s">
        <v>0</v>
      </c>
      <c r="B22" s="70">
        <v>729803.95276999997</v>
      </c>
      <c r="C22" s="58">
        <v>100571</v>
      </c>
      <c r="D22" s="58">
        <v>65091.219900000004</v>
      </c>
      <c r="E22" s="60">
        <f>SUM(B22:D22)</f>
        <v>895466.17267</v>
      </c>
    </row>
    <row r="23" spans="1:6" ht="29.5" customHeight="1" x14ac:dyDescent="0.35">
      <c r="A23" s="59" t="s">
        <v>1</v>
      </c>
      <c r="B23" s="70">
        <v>170059.00750000001</v>
      </c>
      <c r="C23" s="58">
        <v>29062</v>
      </c>
      <c r="D23" s="58">
        <v>18798.383099999999</v>
      </c>
      <c r="E23" s="60">
        <f>SUM(B23:D23)</f>
        <v>217919.39060000001</v>
      </c>
    </row>
    <row r="24" spans="1:6" ht="29.5" customHeight="1" x14ac:dyDescent="0.35">
      <c r="A24" s="59" t="s">
        <v>22</v>
      </c>
      <c r="B24" s="70">
        <v>490961.95419999992</v>
      </c>
      <c r="C24" s="58">
        <v>56918</v>
      </c>
      <c r="D24" s="58">
        <v>36853.236000000004</v>
      </c>
      <c r="E24" s="60">
        <f>B24+C24+D24</f>
        <v>584733.19019999995</v>
      </c>
    </row>
    <row r="25" spans="1:6" ht="29.5" customHeight="1" x14ac:dyDescent="0.35">
      <c r="A25" s="59" t="s">
        <v>23</v>
      </c>
      <c r="B25" s="70">
        <v>469586.14909999998</v>
      </c>
      <c r="C25" s="58">
        <v>63137</v>
      </c>
      <c r="D25" s="58">
        <v>40894.161</v>
      </c>
      <c r="E25" s="60">
        <f>B25+C25+D25</f>
        <v>573617.3101</v>
      </c>
    </row>
    <row r="26" spans="1:6" ht="29.5" customHeight="1" x14ac:dyDescent="0.35">
      <c r="A26" s="59" t="s">
        <v>21</v>
      </c>
      <c r="B26" s="58">
        <f>SUM(B22:B25)</f>
        <v>1860411.0635699998</v>
      </c>
      <c r="C26" s="58">
        <f>SUM(C22:C25)</f>
        <v>249688</v>
      </c>
      <c r="D26" s="58">
        <f>D22+D23+D24+D25</f>
        <v>161637</v>
      </c>
      <c r="E26" s="60">
        <f>E22+E23+E24+E25</f>
        <v>2271736.0635699998</v>
      </c>
      <c r="F26" s="20">
        <f>B26+C26+D26</f>
        <v>2271736.0635699998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E84C19CB2EF8B4189A8C1455C0355B9" ma:contentTypeVersion="0" ma:contentTypeDescription="Crear nuevo documento." ma:contentTypeScope="" ma:versionID="5d44a4d5a09d5a338ae63b54b466a1f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FA61D48-5D96-402E-AEF2-74DBBA70C92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E011C47-05E8-4E78-9FFA-DB639A228AFC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0FD396B1-23AC-4D9D-91CF-DDA0A840F48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gastos por centro encargo</vt:lpstr>
    </vt:vector>
  </TitlesOfParts>
  <Company>Gobierno de Navarra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Pedro Ardaiz Labairu</cp:lastModifiedBy>
  <dcterms:created xsi:type="dcterms:W3CDTF">2020-02-13T11:52:47Z</dcterms:created>
  <dcterms:modified xsi:type="dcterms:W3CDTF">2020-02-24T23:08:21Z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0x0101004E84C19CB2EF8B4189A8C1455C0355B9</vt:lpwstr>
  </property>
</Properties>
</file>